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5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" i="1" l="1"/>
  <c r="E10" i="1" s="1"/>
  <c r="E11" i="1"/>
  <c r="E44" i="1" s="1"/>
  <c r="E49" i="1" s="1"/>
  <c r="E8" i="1"/>
  <c r="J43" i="1"/>
  <c r="J42" i="1"/>
  <c r="J41" i="1"/>
  <c r="B44" i="1"/>
  <c r="C44" i="1"/>
  <c r="C49" i="1"/>
  <c r="D44" i="1"/>
  <c r="J45" i="1"/>
  <c r="J46" i="1"/>
  <c r="K45" i="1"/>
  <c r="L45" i="1"/>
  <c r="E12" i="1"/>
  <c r="L43" i="1" l="1"/>
  <c r="D45" i="1"/>
  <c r="D46" i="1" s="1"/>
  <c r="B48" i="1"/>
  <c r="B49" i="1" s="1"/>
  <c r="B45" i="1"/>
  <c r="L41" i="1"/>
  <c r="L40" i="1" s="1"/>
  <c r="D47" i="1"/>
  <c r="D48" i="1" s="1"/>
  <c r="D49" i="1" s="1"/>
  <c r="E15" i="1"/>
  <c r="E13" i="1"/>
  <c r="E16" i="1" s="1"/>
  <c r="E45" i="1"/>
  <c r="E46" i="1" s="1"/>
  <c r="E47" i="1" s="1"/>
  <c r="E48" i="1" s="1"/>
  <c r="C45" i="1"/>
  <c r="C46" i="1" s="1"/>
  <c r="C47" i="1" s="1"/>
  <c r="C48" i="1" s="1"/>
  <c r="E14" i="1"/>
  <c r="B47" i="1" l="1"/>
  <c r="B46" i="1"/>
  <c r="L46" i="1"/>
  <c r="L42" i="1"/>
  <c r="E23" i="1"/>
  <c r="E25" i="1" s="1"/>
  <c r="E26" i="1"/>
  <c r="E20" i="1"/>
  <c r="C43" i="1" s="1"/>
  <c r="E17" i="1"/>
  <c r="E21" i="1"/>
  <c r="E43" i="1" s="1"/>
  <c r="E24" i="1" l="1"/>
  <c r="E27" i="1" s="1"/>
  <c r="B17" i="1"/>
  <c r="B18" i="1" s="1"/>
  <c r="B20" i="1" s="1"/>
  <c r="B43" i="1"/>
  <c r="D43" i="1"/>
  <c r="E18" i="1"/>
  <c r="C42" i="1" s="1"/>
  <c r="E19" i="1"/>
  <c r="E42" i="1" s="1"/>
  <c r="E22" i="1"/>
  <c r="E28" i="1" l="1"/>
  <c r="B21" i="1"/>
  <c r="B19" i="1"/>
  <c r="B22" i="1" s="1"/>
  <c r="B25" i="1" s="1"/>
  <c r="B42" i="1"/>
  <c r="D42" i="1"/>
  <c r="B26" i="1" l="1"/>
  <c r="B23" i="1"/>
  <c r="B24" i="1" s="1"/>
</calcChain>
</file>

<file path=xl/sharedStrings.xml><?xml version="1.0" encoding="utf-8"?>
<sst xmlns="http://schemas.openxmlformats.org/spreadsheetml/2006/main" count="62" uniqueCount="46">
  <si>
    <t>CINEMÁTICA BRAZO</t>
  </si>
  <si>
    <t>Coordenadas destino</t>
  </si>
  <si>
    <t>x</t>
  </si>
  <si>
    <t>y</t>
  </si>
  <si>
    <t>z</t>
  </si>
  <si>
    <t>Constantes</t>
  </si>
  <si>
    <t>Inversa</t>
  </si>
  <si>
    <t>Lb</t>
  </si>
  <si>
    <t>α (rad)</t>
  </si>
  <si>
    <t>L1</t>
  </si>
  <si>
    <t>α</t>
  </si>
  <si>
    <t>L2</t>
  </si>
  <si>
    <t>z'</t>
  </si>
  <si>
    <t>Lp</t>
  </si>
  <si>
    <t>L</t>
  </si>
  <si>
    <t>PI</t>
  </si>
  <si>
    <t>L*</t>
  </si>
  <si>
    <t>β' (rad)</t>
  </si>
  <si>
    <t>β'' (rad)</t>
  </si>
  <si>
    <t>β* (rad)</t>
  </si>
  <si>
    <r>
      <t>ACOS</t>
    </r>
    <r>
      <rPr>
        <b/>
        <sz val="10"/>
        <rFont val="Arial"/>
        <family val="2"/>
      </rPr>
      <t>(</t>
    </r>
  </si>
  <si>
    <t>Directa</t>
  </si>
  <si>
    <t>β (rad)</t>
  </si>
  <si>
    <t>y1</t>
  </si>
  <si>
    <t>z'1</t>
  </si>
  <si>
    <t>δ* (rad)</t>
  </si>
  <si>
    <t>y2</t>
  </si>
  <si>
    <t>z'2</t>
  </si>
  <si>
    <t xml:space="preserve">β </t>
  </si>
  <si>
    <t xml:space="preserve">L </t>
  </si>
  <si>
    <t>γ (rad)</t>
  </si>
  <si>
    <t>γ</t>
  </si>
  <si>
    <t xml:space="preserve">z </t>
  </si>
  <si>
    <t>δ' (rad)</t>
  </si>
  <si>
    <t>ε</t>
  </si>
  <si>
    <t>ε (rad)</t>
  </si>
  <si>
    <t>Puntos articulaciones</t>
  </si>
  <si>
    <t>puntos obstaculos</t>
  </si>
  <si>
    <t>base</t>
  </si>
  <si>
    <t>arti1</t>
  </si>
  <si>
    <t>arti2</t>
  </si>
  <si>
    <t>arti3</t>
  </si>
  <si>
    <t>pinza</t>
  </si>
  <si>
    <t>δ (β''&gt;β')</t>
  </si>
  <si>
    <t>Ángulo pinza</t>
  </si>
  <si>
    <t>δ (β''&lt;=β')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</si>
</sst>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/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3"/>
      </bottom>
      <diagonal/>
    </border>
    <border>
      <left/>
      <right style="thick">
        <color rgb="FFFF0000"/>
      </right>
      <top style="thick">
        <color rgb="FFFF0000"/>
      </top>
      <bottom style="hair">
        <color indexed="63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3" fillId="0" borderId="8" xfId="0" applyFont="1" applyBorder="1"/>
    <xf numFmtId="0" fontId="0" fillId="0" borderId="10" xfId="0" applyBorder="1"/>
    <xf numFmtId="0" fontId="3" fillId="0" borderId="8" xfId="0" applyFont="1" applyFill="1" applyBorder="1"/>
    <xf numFmtId="0" fontId="3" fillId="0" borderId="6" xfId="0" applyFont="1" applyBorder="1"/>
    <xf numFmtId="0" fontId="0" fillId="0" borderId="0" xfId="0" applyBorder="1"/>
    <xf numFmtId="0" fontId="3" fillId="0" borderId="4" xfId="0" applyFont="1" applyBorder="1"/>
    <xf numFmtId="0" fontId="3" fillId="0" borderId="11" xfId="0" applyFont="1" applyBorder="1"/>
    <xf numFmtId="0" fontId="0" fillId="0" borderId="12" xfId="0" applyBorder="1"/>
    <xf numFmtId="0" fontId="3" fillId="0" borderId="14" xfId="0" applyFont="1" applyFill="1" applyBorder="1"/>
    <xf numFmtId="0" fontId="0" fillId="0" borderId="15" xfId="0" applyBorder="1"/>
    <xf numFmtId="0" fontId="0" fillId="0" borderId="16" xfId="0" applyFont="1" applyBorder="1"/>
    <xf numFmtId="0" fontId="0" fillId="0" borderId="17" xfId="0" applyBorder="1"/>
    <xf numFmtId="0" fontId="4" fillId="0" borderId="18" xfId="0" applyFont="1" applyBorder="1"/>
    <xf numFmtId="0" fontId="4" fillId="0" borderId="19" xfId="0" applyFont="1" applyBorder="1"/>
    <xf numFmtId="0" fontId="0" fillId="0" borderId="21" xfId="0" applyBorder="1"/>
    <xf numFmtId="0" fontId="5" fillId="3" borderId="22" xfId="0" applyFont="1" applyFill="1" applyBorder="1"/>
    <xf numFmtId="0" fontId="0" fillId="0" borderId="23" xfId="0" applyBorder="1"/>
    <xf numFmtId="0" fontId="0" fillId="0" borderId="25" xfId="0" applyFont="1" applyBorder="1"/>
    <xf numFmtId="0" fontId="0" fillId="0" borderId="26" xfId="0" applyBorder="1"/>
    <xf numFmtId="0" fontId="0" fillId="0" borderId="24" xfId="0" applyBorder="1"/>
    <xf numFmtId="0" fontId="3" fillId="0" borderId="25" xfId="0" applyFont="1" applyBorder="1"/>
    <xf numFmtId="0" fontId="0" fillId="0" borderId="27" xfId="0" applyFont="1" applyBorder="1"/>
    <xf numFmtId="0" fontId="0" fillId="0" borderId="28" xfId="0" applyBorder="1"/>
    <xf numFmtId="0" fontId="0" fillId="0" borderId="29" xfId="0" applyFont="1" applyBorder="1"/>
    <xf numFmtId="0" fontId="0" fillId="0" borderId="30" xfId="0" applyBorder="1"/>
    <xf numFmtId="0" fontId="3" fillId="0" borderId="25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47054468578668E-2"/>
          <c:y val="5.1815249413860551E-2"/>
          <c:w val="0.8463875030333442"/>
          <c:h val="0.875677715094243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Hoja1!$E$40:$E$49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-6.5192352720607571</c:v>
                </c:pt>
                <c:pt idx="3">
                  <c:v>96.857475862572841</c:v>
                </c:pt>
                <c:pt idx="4">
                  <c:v>139.28388277184121</c:v>
                </c:pt>
                <c:pt idx="5">
                  <c:v>133.62702852742555</c:v>
                </c:pt>
                <c:pt idx="6">
                  <c:v>176.05343543669392</c:v>
                </c:pt>
                <c:pt idx="7">
                  <c:v>187.3671439255252</c:v>
                </c:pt>
                <c:pt idx="8">
                  <c:v>144.94073701625683</c:v>
                </c:pt>
                <c:pt idx="9">
                  <c:v>139.28388277184121</c:v>
                </c:pt>
              </c:numCache>
            </c:numRef>
          </c:xVal>
          <c:yVal>
            <c:numRef>
              <c:f>Hoja1!$C$40:$C$49</c:f>
              <c:numCache>
                <c:formatCode>General</c:formatCode>
                <c:ptCount val="10"/>
                <c:pt idx="0">
                  <c:v>-42</c:v>
                </c:pt>
                <c:pt idx="1">
                  <c:v>0</c:v>
                </c:pt>
                <c:pt idx="2">
                  <c:v>103.79546989858237</c:v>
                </c:pt>
                <c:pt idx="3">
                  <c:v>92.426406833117341</c:v>
                </c:pt>
                <c:pt idx="4">
                  <c:v>50</c:v>
                </c:pt>
                <c:pt idx="5">
                  <c:v>44.343145745430888</c:v>
                </c:pt>
                <c:pt idx="6">
                  <c:v>1.9167389123135408</c:v>
                </c:pt>
                <c:pt idx="7">
                  <c:v>13.230447421451771</c:v>
                </c:pt>
                <c:pt idx="8">
                  <c:v>55.656854254569119</c:v>
                </c:pt>
                <c:pt idx="9">
                  <c:v>50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xVal>
            <c:numRef>
              <c:f>Hoja1!$L$40:$L$46</c:f>
              <c:numCache>
                <c:formatCode>General</c:formatCode>
                <c:ptCount val="7"/>
                <c:pt idx="0">
                  <c:v>-55.713553108736477</c:v>
                </c:pt>
                <c:pt idx="1">
                  <c:v>-55.713553108736477</c:v>
                </c:pt>
                <c:pt idx="2">
                  <c:v>-141.42671173756185</c:v>
                </c:pt>
                <c:pt idx="3">
                  <c:v>-141.42671173756185</c:v>
                </c:pt>
                <c:pt idx="4">
                  <c:v>30</c:v>
                </c:pt>
                <c:pt idx="5">
                  <c:v>30</c:v>
                </c:pt>
                <c:pt idx="6">
                  <c:v>-141.42671173756185</c:v>
                </c:pt>
              </c:numCache>
            </c:numRef>
          </c:xVal>
          <c:yVal>
            <c:numRef>
              <c:f>Hoja1!$J$40:$J$46</c:f>
              <c:numCache>
                <c:formatCode>General</c:formatCode>
                <c:ptCount val="7"/>
                <c:pt idx="0">
                  <c:v>300</c:v>
                </c:pt>
                <c:pt idx="1">
                  <c:v>163</c:v>
                </c:pt>
                <c:pt idx="2">
                  <c:v>163</c:v>
                </c:pt>
                <c:pt idx="3">
                  <c:v>-42</c:v>
                </c:pt>
                <c:pt idx="4">
                  <c:v>-42</c:v>
                </c:pt>
                <c:pt idx="5">
                  <c:v>-85</c:v>
                </c:pt>
                <c:pt idx="6">
                  <c:v>-85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1360"/>
        <c:axId val="64113664"/>
      </c:scatterChart>
      <c:valAx>
        <c:axId val="64111360"/>
        <c:scaling>
          <c:orientation val="minMax"/>
          <c:max val="300"/>
          <c:min val="-15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z'</a:t>
                </a:r>
              </a:p>
            </c:rich>
          </c:tx>
          <c:layout>
            <c:manualLayout>
              <c:xMode val="edge"/>
              <c:yMode val="edge"/>
              <c:x val="0.50136327298710304"/>
              <c:y val="0.93267458696126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113664"/>
        <c:crossesAt val="0"/>
        <c:crossBetween val="midCat"/>
        <c:majorUnit val="50"/>
      </c:valAx>
      <c:valAx>
        <c:axId val="64113664"/>
        <c:scaling>
          <c:orientation val="minMax"/>
          <c:max val="300"/>
          <c:min val="-2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y</a:t>
                </a:r>
              </a:p>
            </c:rich>
          </c:tx>
          <c:layout>
            <c:manualLayout>
              <c:xMode val="edge"/>
              <c:yMode val="edge"/>
              <c:x val="1.347737193228205E-2"/>
              <c:y val="0.47929100801946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111360"/>
        <c:crossesAt val="0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15399768305796E-2"/>
          <c:y val="4.4445945507871024E-2"/>
          <c:w val="0.85572516005273003"/>
          <c:h val="0.897808099258994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Hoja1!$D$40:$D$49</c:f>
              <c:numCache>
                <c:formatCode>General</c:formatCode>
                <c:ptCount val="10"/>
                <c:pt idx="1">
                  <c:v>0</c:v>
                </c:pt>
                <c:pt idx="2">
                  <c:v>-6.0846995969819151</c:v>
                </c:pt>
                <c:pt idx="3">
                  <c:v>90.40149952425125</c:v>
                </c:pt>
                <c:pt idx="4">
                  <c:v>130</c:v>
                </c:pt>
                <c:pt idx="5">
                  <c:v>138.97447698272174</c:v>
                </c:pt>
                <c:pt idx="6">
                  <c:v>178.57297745847049</c:v>
                </c:pt>
                <c:pt idx="7">
                  <c:v>138.97447698272174</c:v>
                </c:pt>
                <c:pt idx="8">
                  <c:v>121.02552301727829</c:v>
                </c:pt>
                <c:pt idx="9">
                  <c:v>160.62402349302704</c:v>
                </c:pt>
              </c:numCache>
            </c:numRef>
          </c:xVal>
          <c:yVal>
            <c:numRef>
              <c:f>Hoja1!$B$40:$B$49</c:f>
              <c:numCache>
                <c:formatCode>General</c:formatCode>
                <c:ptCount val="10"/>
                <c:pt idx="1">
                  <c:v>0</c:v>
                </c:pt>
                <c:pt idx="2">
                  <c:v>-2.3402690757622753</c:v>
                </c:pt>
                <c:pt idx="3">
                  <c:v>34.769807509327407</c:v>
                </c:pt>
                <c:pt idx="4">
                  <c:v>50</c:v>
                </c:pt>
                <c:pt idx="5">
                  <c:v>26.666359844923512</c:v>
                </c:pt>
                <c:pt idx="6">
                  <c:v>41.896552335596112</c:v>
                </c:pt>
                <c:pt idx="7">
                  <c:v>26.666359844923512</c:v>
                </c:pt>
                <c:pt idx="8">
                  <c:v>73.333640155076495</c:v>
                </c:pt>
                <c:pt idx="9">
                  <c:v>88.563832645749102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xVal>
            <c:numRef>
              <c:f>Hoja1!$K$40:$K$46</c:f>
              <c:numCache>
                <c:formatCode>General</c:formatCode>
                <c:ptCount val="7"/>
                <c:pt idx="0">
                  <c:v>-52</c:v>
                </c:pt>
                <c:pt idx="1">
                  <c:v>-52</c:v>
                </c:pt>
                <c:pt idx="2">
                  <c:v>-52</c:v>
                </c:pt>
                <c:pt idx="3">
                  <c:v>-132</c:v>
                </c:pt>
                <c:pt idx="4">
                  <c:v>-132</c:v>
                </c:pt>
                <c:pt idx="5">
                  <c:v>-132</c:v>
                </c:pt>
              </c:numCache>
            </c:numRef>
          </c:xVal>
          <c:yVal>
            <c:numRef>
              <c:f>Hoja1!$I$40:$I$46</c:f>
              <c:numCache>
                <c:formatCode>General</c:formatCode>
                <c:ptCount val="7"/>
                <c:pt idx="0">
                  <c:v>130</c:v>
                </c:pt>
                <c:pt idx="1">
                  <c:v>-130</c:v>
                </c:pt>
                <c:pt idx="2">
                  <c:v>0</c:v>
                </c:pt>
                <c:pt idx="3">
                  <c:v>0</c:v>
                </c:pt>
                <c:pt idx="4">
                  <c:v>-52</c:v>
                </c:pt>
                <c:pt idx="5">
                  <c:v>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58720"/>
        <c:axId val="82204160"/>
      </c:scatterChart>
      <c:valAx>
        <c:axId val="64158720"/>
        <c:scaling>
          <c:orientation val="minMax"/>
          <c:max val="300"/>
          <c:min val="-15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z</a:t>
                </a:r>
              </a:p>
            </c:rich>
          </c:tx>
          <c:layout>
            <c:manualLayout>
              <c:xMode val="edge"/>
              <c:yMode val="edge"/>
              <c:x val="0.49875092195754017"/>
              <c:y val="0.942254070489582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204160"/>
        <c:crossesAt val="0"/>
        <c:crossBetween val="midCat"/>
        <c:majorUnit val="50"/>
      </c:valAx>
      <c:valAx>
        <c:axId val="82204160"/>
        <c:scaling>
          <c:orientation val="minMax"/>
          <c:max val="300"/>
          <c:min val="-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x</a:t>
                </a:r>
              </a:p>
            </c:rich>
          </c:tx>
          <c:layout>
            <c:manualLayout>
              <c:xMode val="edge"/>
              <c:yMode val="edge"/>
              <c:x val="1.2658759427223495E-2"/>
              <c:y val="0.48446070579507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158720"/>
        <c:crossesAt val="0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57150</xdr:rowOff>
    </xdr:from>
    <xdr:to>
      <xdr:col>9</xdr:col>
      <xdr:colOff>552450</xdr:colOff>
      <xdr:row>25</xdr:row>
      <xdr:rowOff>9525</xdr:rowOff>
    </xdr:to>
    <xdr:graphicFrame macro="">
      <xdr:nvGraphicFramePr>
        <xdr:cNvPr id="10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2</xdr:row>
      <xdr:rowOff>76200</xdr:rowOff>
    </xdr:from>
    <xdr:to>
      <xdr:col>14</xdr:col>
      <xdr:colOff>466725</xdr:colOff>
      <xdr:row>28</xdr:row>
      <xdr:rowOff>152400</xdr:rowOff>
    </xdr:to>
    <xdr:graphicFrame macro="">
      <xdr:nvGraphicFramePr>
        <xdr:cNvPr id="10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E5" sqref="E5"/>
    </sheetView>
  </sheetViews>
  <sheetFormatPr baseColWidth="10" defaultColWidth="11.5703125" defaultRowHeight="12.75" x14ac:dyDescent="0.2"/>
  <cols>
    <col min="1" max="1" width="13" customWidth="1"/>
    <col min="2" max="2" width="12.28515625" bestFit="1" customWidth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B2" s="38" t="s">
        <v>1</v>
      </c>
      <c r="C2" s="38"/>
      <c r="D2" s="39"/>
      <c r="E2" s="25" t="s">
        <v>44</v>
      </c>
    </row>
    <row r="3" spans="1:15" x14ac:dyDescent="0.2">
      <c r="B3" s="1" t="s">
        <v>2</v>
      </c>
      <c r="C3" s="1" t="s">
        <v>3</v>
      </c>
      <c r="D3" s="1" t="s">
        <v>4</v>
      </c>
      <c r="E3" s="26" t="s">
        <v>34</v>
      </c>
    </row>
    <row r="4" spans="1:15" x14ac:dyDescent="0.2">
      <c r="B4" s="2">
        <v>50</v>
      </c>
      <c r="C4" s="2">
        <v>50</v>
      </c>
      <c r="D4" s="2">
        <v>130</v>
      </c>
      <c r="E4" s="24">
        <v>45</v>
      </c>
    </row>
    <row r="7" spans="1:15" x14ac:dyDescent="0.2">
      <c r="A7" s="38" t="s">
        <v>5</v>
      </c>
      <c r="B7" s="38"/>
      <c r="D7" s="40" t="s">
        <v>6</v>
      </c>
      <c r="E7" s="40"/>
    </row>
    <row r="8" spans="1:15" x14ac:dyDescent="0.2">
      <c r="A8" s="3" t="s">
        <v>7</v>
      </c>
      <c r="B8" s="4">
        <v>42</v>
      </c>
      <c r="D8" s="23" t="s">
        <v>35</v>
      </c>
      <c r="E8" s="24">
        <f>(E4*B12)/180</f>
        <v>0.78539816249999994</v>
      </c>
    </row>
    <row r="9" spans="1:15" ht="13.5" thickBot="1" x14ac:dyDescent="0.25">
      <c r="A9" s="3" t="s">
        <v>9</v>
      </c>
      <c r="B9" s="4">
        <v>104</v>
      </c>
      <c r="D9" s="5" t="s">
        <v>8</v>
      </c>
      <c r="E9" s="6">
        <f>ATAN2(D4,B4)</f>
        <v>0.36717383381821922</v>
      </c>
    </row>
    <row r="10" spans="1:15" ht="14.25" thickTop="1" thickBot="1" x14ac:dyDescent="0.25">
      <c r="A10" s="3" t="s">
        <v>11</v>
      </c>
      <c r="B10" s="4">
        <v>104</v>
      </c>
      <c r="D10" s="28" t="s">
        <v>10</v>
      </c>
      <c r="E10" s="29">
        <f>(E9*180)/B12</f>
        <v>21.037511049460679</v>
      </c>
    </row>
    <row r="11" spans="1:15" ht="13.5" thickTop="1" x14ac:dyDescent="0.2">
      <c r="A11" s="3" t="s">
        <v>13</v>
      </c>
      <c r="B11" s="4">
        <v>60</v>
      </c>
      <c r="D11" s="7" t="s">
        <v>12</v>
      </c>
      <c r="E11" s="8">
        <f>SQRT(B4^2+D4^2)</f>
        <v>139.28388277184121</v>
      </c>
    </row>
    <row r="12" spans="1:15" x14ac:dyDescent="0.2">
      <c r="A12" s="3" t="s">
        <v>15</v>
      </c>
      <c r="B12" s="4">
        <v>3.1415926500000002</v>
      </c>
      <c r="D12" s="3" t="s">
        <v>14</v>
      </c>
      <c r="E12" s="4">
        <f>SQRT(C4^2+E11^2)</f>
        <v>147.98648586948744</v>
      </c>
    </row>
    <row r="13" spans="1:15" x14ac:dyDescent="0.2">
      <c r="D13" s="3" t="s">
        <v>16</v>
      </c>
      <c r="E13" s="4">
        <f>SQRT((C4+(B11*SIN(E8)))^2+(E11-(B11*COS(E8)))^2)</f>
        <v>133.8805860106304</v>
      </c>
    </row>
    <row r="14" spans="1:15" x14ac:dyDescent="0.2">
      <c r="D14" s="3" t="s">
        <v>17</v>
      </c>
      <c r="E14" s="4">
        <f>ATAN2(E11-(B11*COS(E8)),C4+(B11*SIN(E8)))</f>
        <v>0.76199279043782664</v>
      </c>
    </row>
    <row r="15" spans="1:15" x14ac:dyDescent="0.2">
      <c r="D15" s="3" t="s">
        <v>18</v>
      </c>
      <c r="E15" s="4">
        <f>ATAN2(E11,C4)</f>
        <v>0.34465149710784143</v>
      </c>
      <c r="I15" t="s">
        <v>20</v>
      </c>
    </row>
    <row r="16" spans="1:15" x14ac:dyDescent="0.2">
      <c r="A16" s="41" t="s">
        <v>21</v>
      </c>
      <c r="B16" s="41"/>
      <c r="D16" s="3" t="s">
        <v>19</v>
      </c>
      <c r="E16" s="4">
        <f>ACOS((B9^2+E13^2-B10^2)/(2*B9*E13))</f>
        <v>0.87152961607008983</v>
      </c>
    </row>
    <row r="17" spans="1:5" x14ac:dyDescent="0.2">
      <c r="A17" s="9" t="s">
        <v>16</v>
      </c>
      <c r="B17" s="10">
        <f>SQRT(B9^2+B10^2-2*B9*B10*COS(E23))</f>
        <v>133.8805860106304</v>
      </c>
      <c r="D17" s="3" t="s">
        <v>22</v>
      </c>
      <c r="E17" s="4">
        <f>E14+E16</f>
        <v>1.6335224065079164</v>
      </c>
    </row>
    <row r="18" spans="1:5" x14ac:dyDescent="0.2">
      <c r="A18" s="9" t="s">
        <v>19</v>
      </c>
      <c r="B18" s="10">
        <f>ACOS((B9^2+B17^2-B10^2)/(2*B9*B17))</f>
        <v>0.87152961607008983</v>
      </c>
      <c r="D18" s="3" t="s">
        <v>23</v>
      </c>
      <c r="E18" s="27">
        <f>SIN(E17)*B9</f>
        <v>103.79546989858237</v>
      </c>
    </row>
    <row r="19" spans="1:5" x14ac:dyDescent="0.2">
      <c r="A19" s="9" t="s">
        <v>17</v>
      </c>
      <c r="B19">
        <f>E17-B18</f>
        <v>0.76199279043782653</v>
      </c>
      <c r="D19" s="3" t="s">
        <v>24</v>
      </c>
      <c r="E19" s="8">
        <f>COS(E17)*B9</f>
        <v>-6.5192352720607571</v>
      </c>
    </row>
    <row r="20" spans="1:5" x14ac:dyDescent="0.2">
      <c r="A20" s="11" t="s">
        <v>25</v>
      </c>
      <c r="B20" s="10">
        <f>B12-(B18+E23)</f>
        <v>0.87152961248029692</v>
      </c>
      <c r="D20" s="3" t="s">
        <v>26</v>
      </c>
      <c r="E20" s="4">
        <f>SIN(E14)*E13</f>
        <v>92.426406833117341</v>
      </c>
    </row>
    <row r="21" spans="1:5" ht="13.5" thickBot="1" x14ac:dyDescent="0.25">
      <c r="A21" s="13" t="s">
        <v>29</v>
      </c>
      <c r="B21" s="10">
        <f>SQRT(B17^2+B11^2-2*B17*B11*COS(IF(E14&lt;E15,E28*B12/180,E27*B12/180)-B20))</f>
        <v>147.98648586948744</v>
      </c>
      <c r="C21" s="12"/>
      <c r="D21" s="5" t="s">
        <v>27</v>
      </c>
      <c r="E21" s="6">
        <f>COS(E14)*E13</f>
        <v>96.857475862572841</v>
      </c>
    </row>
    <row r="22" spans="1:5" ht="14.25" thickTop="1" thickBot="1" x14ac:dyDescent="0.25">
      <c r="A22" s="19" t="s">
        <v>12</v>
      </c>
      <c r="B22" s="20">
        <f>(B17*COS(B19))+(B11*COS(E8))</f>
        <v>139.28388277184121</v>
      </c>
      <c r="D22" s="28" t="s">
        <v>28</v>
      </c>
      <c r="E22" s="29">
        <f>(E17*180)/B12</f>
        <v>93.593939739903874</v>
      </c>
    </row>
    <row r="23" spans="1:5" ht="14.25" thickTop="1" thickBot="1" x14ac:dyDescent="0.25">
      <c r="A23" s="21" t="s">
        <v>18</v>
      </c>
      <c r="B23" s="22">
        <f>ACOS(B22/B21)</f>
        <v>0.34465149710784138</v>
      </c>
      <c r="D23" s="14" t="s">
        <v>30</v>
      </c>
      <c r="E23" s="8">
        <f>ACOS((B9^2+B10^2-E13^2)/(2*B9*B10))</f>
        <v>1.3985334214496137</v>
      </c>
    </row>
    <row r="24" spans="1:5" ht="14.25" thickTop="1" thickBot="1" x14ac:dyDescent="0.25">
      <c r="A24" s="36" t="s">
        <v>3</v>
      </c>
      <c r="B24" s="29">
        <f>IF(B9*SIN(E17)&gt;=B10*SIN(E23+E17)+B11*SIN(E8),B21*SIN(B23),-B21*SIN(B23))</f>
        <v>49.999999999999993</v>
      </c>
      <c r="D24" s="16" t="s">
        <v>25</v>
      </c>
      <c r="E24" s="6">
        <f>B12-(E23+E16)</f>
        <v>0.87152961248029692</v>
      </c>
    </row>
    <row r="25" spans="1:5" ht="14.25" thickTop="1" thickBot="1" x14ac:dyDescent="0.25">
      <c r="A25" s="36" t="s">
        <v>32</v>
      </c>
      <c r="B25" s="29">
        <f>B22*COS(E9)</f>
        <v>130</v>
      </c>
      <c r="C25" s="30"/>
      <c r="D25" s="31" t="s">
        <v>31</v>
      </c>
      <c r="E25" s="29">
        <f>(E23*180)/B12</f>
        <v>80.130062648615649</v>
      </c>
    </row>
    <row r="26" spans="1:5" ht="14.25" thickTop="1" thickBot="1" x14ac:dyDescent="0.25">
      <c r="A26" s="36" t="s">
        <v>2</v>
      </c>
      <c r="B26" s="29">
        <f>B22*SIN(E9)</f>
        <v>50.000000000000007</v>
      </c>
      <c r="D26" s="17" t="s">
        <v>33</v>
      </c>
      <c r="E26" s="18">
        <f>ACOS((E13^2+B11^2-E12^2)/(2*E13*B11))</f>
        <v>1.5942017006519666</v>
      </c>
    </row>
    <row r="27" spans="1:5" ht="13.5" thickTop="1" x14ac:dyDescent="0.2">
      <c r="D27" s="32" t="s">
        <v>45</v>
      </c>
      <c r="E27" s="33">
        <f>((E26+E24)*180)/B12</f>
        <v>141.27599781716049</v>
      </c>
    </row>
    <row r="28" spans="1:5" ht="13.5" thickBot="1" x14ac:dyDescent="0.25">
      <c r="C28" s="15"/>
      <c r="D28" s="34" t="s">
        <v>43</v>
      </c>
      <c r="E28" s="35">
        <f>((B12*2-(E26-E24))*180)/B12</f>
        <v>318.59393932854391</v>
      </c>
    </row>
    <row r="29" spans="1:5" ht="13.5" thickTop="1" x14ac:dyDescent="0.2">
      <c r="C29" s="15"/>
    </row>
    <row r="38" spans="1:12" x14ac:dyDescent="0.2">
      <c r="A38" s="37" t="s">
        <v>36</v>
      </c>
      <c r="B38" s="37"/>
      <c r="C38" s="37"/>
      <c r="D38" s="37"/>
      <c r="E38" s="37"/>
      <c r="I38" s="37" t="s">
        <v>37</v>
      </c>
      <c r="J38" s="37"/>
      <c r="K38" s="37"/>
      <c r="L38" s="37"/>
    </row>
    <row r="39" spans="1:12" x14ac:dyDescent="0.2">
      <c r="B39" t="s">
        <v>2</v>
      </c>
      <c r="C39" t="s">
        <v>3</v>
      </c>
      <c r="D39" t="s">
        <v>4</v>
      </c>
      <c r="E39" t="s">
        <v>12</v>
      </c>
      <c r="I39" t="s">
        <v>2</v>
      </c>
      <c r="J39" t="s">
        <v>3</v>
      </c>
      <c r="K39" t="s">
        <v>4</v>
      </c>
      <c r="L39" t="s">
        <v>12</v>
      </c>
    </row>
    <row r="40" spans="1:12" x14ac:dyDescent="0.2">
      <c r="A40" t="s">
        <v>38</v>
      </c>
      <c r="C40">
        <v>-42</v>
      </c>
      <c r="E40">
        <v>0</v>
      </c>
      <c r="I40">
        <v>130</v>
      </c>
      <c r="J40">
        <v>300</v>
      </c>
      <c r="K40">
        <v>-52</v>
      </c>
      <c r="L40">
        <f>L41</f>
        <v>-55.713553108736477</v>
      </c>
    </row>
    <row r="41" spans="1:12" x14ac:dyDescent="0.2">
      <c r="A41" t="s">
        <v>39</v>
      </c>
      <c r="B41">
        <v>0</v>
      </c>
      <c r="C41">
        <v>0</v>
      </c>
      <c r="D41">
        <v>0</v>
      </c>
      <c r="E41">
        <v>0</v>
      </c>
      <c r="I41">
        <v>-130</v>
      </c>
      <c r="J41">
        <f>J42</f>
        <v>163</v>
      </c>
      <c r="K41">
        <v>-52</v>
      </c>
      <c r="L41">
        <f>K42/COS(E9)</f>
        <v>-55.713553108736477</v>
      </c>
    </row>
    <row r="42" spans="1:12" x14ac:dyDescent="0.2">
      <c r="A42" t="s">
        <v>40</v>
      </c>
      <c r="B42">
        <f>E42*SIN(E9)</f>
        <v>-2.3402690757622753</v>
      </c>
      <c r="C42">
        <f>E18</f>
        <v>103.79546989858237</v>
      </c>
      <c r="D42">
        <f>E42*COS(E9)</f>
        <v>-6.0846995969819151</v>
      </c>
      <c r="E42">
        <f>E19</f>
        <v>-6.5192352720607571</v>
      </c>
      <c r="I42">
        <v>0</v>
      </c>
      <c r="J42">
        <f>J43+205</f>
        <v>163</v>
      </c>
      <c r="K42">
        <v>-52</v>
      </c>
      <c r="L42">
        <f>L43</f>
        <v>-141.42671173756185</v>
      </c>
    </row>
    <row r="43" spans="1:12" x14ac:dyDescent="0.2">
      <c r="A43" t="s">
        <v>41</v>
      </c>
      <c r="B43">
        <f>E43*SIN(E9)</f>
        <v>34.769807509327407</v>
      </c>
      <c r="C43">
        <f>E20</f>
        <v>92.426406833117341</v>
      </c>
      <c r="D43">
        <f>E43*COS(E9)</f>
        <v>90.40149952425125</v>
      </c>
      <c r="E43">
        <f>E21</f>
        <v>96.857475862572841</v>
      </c>
      <c r="I43">
        <v>0</v>
      </c>
      <c r="J43">
        <f>J44</f>
        <v>-42</v>
      </c>
      <c r="K43">
        <v>-132</v>
      </c>
      <c r="L43">
        <f>K44/COS(E9)</f>
        <v>-141.42671173756185</v>
      </c>
    </row>
    <row r="44" spans="1:12" x14ac:dyDescent="0.2">
      <c r="A44" t="s">
        <v>42</v>
      </c>
      <c r="B44">
        <f>B4</f>
        <v>50</v>
      </c>
      <c r="C44">
        <f>C4</f>
        <v>50</v>
      </c>
      <c r="D44">
        <f>D4</f>
        <v>130</v>
      </c>
      <c r="E44">
        <f>E11</f>
        <v>139.28388277184121</v>
      </c>
      <c r="I44">
        <v>-52</v>
      </c>
      <c r="J44">
        <v>-42</v>
      </c>
      <c r="K44">
        <v>-132</v>
      </c>
      <c r="L44">
        <v>30</v>
      </c>
    </row>
    <row r="45" spans="1:12" x14ac:dyDescent="0.2">
      <c r="B45">
        <f>(B44)-COS(E9)*25</f>
        <v>26.666359844923512</v>
      </c>
      <c r="C45">
        <f>C44-8*COS(E8)</f>
        <v>44.343145745430888</v>
      </c>
      <c r="D45">
        <f>D44+SIN(E9)*25</f>
        <v>138.97447698272174</v>
      </c>
      <c r="E45">
        <f>E44-8*SIN(E8)</f>
        <v>133.62702852742555</v>
      </c>
      <c r="I45">
        <v>52</v>
      </c>
      <c r="J45">
        <f>J44-43</f>
        <v>-85</v>
      </c>
      <c r="K45">
        <f>K44</f>
        <v>-132</v>
      </c>
      <c r="L45">
        <f>L44</f>
        <v>30</v>
      </c>
    </row>
    <row r="46" spans="1:12" x14ac:dyDescent="0.2">
      <c r="B46">
        <f>B45+(60*COS(E8))*SIN(E9)</f>
        <v>41.896552335596112</v>
      </c>
      <c r="C46">
        <f>C45-60*SIN(E8)</f>
        <v>1.9167389123135408</v>
      </c>
      <c r="D46">
        <f>D45+(60*COS(E8))*COS(E9)</f>
        <v>178.57297745847049</v>
      </c>
      <c r="E46">
        <f>E45+60*COS(E8)</f>
        <v>176.05343543669392</v>
      </c>
      <c r="J46">
        <f>J45</f>
        <v>-85</v>
      </c>
      <c r="L46">
        <f>L43</f>
        <v>-141.42671173756185</v>
      </c>
    </row>
    <row r="47" spans="1:12" x14ac:dyDescent="0.2">
      <c r="B47">
        <f>B45</f>
        <v>26.666359844923512</v>
      </c>
      <c r="C47">
        <f>C46+16*COS(E8)</f>
        <v>13.230447421451771</v>
      </c>
      <c r="D47">
        <f>D45</f>
        <v>138.97447698272174</v>
      </c>
      <c r="E47">
        <f>E46+16*SIN(E8)</f>
        <v>187.3671439255252</v>
      </c>
    </row>
    <row r="48" spans="1:12" x14ac:dyDescent="0.2">
      <c r="B48">
        <f>(B44)+COS(E9)*25</f>
        <v>73.333640155076495</v>
      </c>
      <c r="C48">
        <f>C47+60*SIN(E8)</f>
        <v>55.656854254569119</v>
      </c>
      <c r="D48">
        <f>D47-50*SIN(E9)</f>
        <v>121.02552301727829</v>
      </c>
      <c r="E48">
        <f>E47-60*COS(E8)</f>
        <v>144.94073701625683</v>
      </c>
    </row>
    <row r="49" spans="2:5" x14ac:dyDescent="0.2">
      <c r="B49">
        <f>B48+(60*COS(E8))*SIN(E9)</f>
        <v>88.563832645749102</v>
      </c>
      <c r="C49">
        <f>C44</f>
        <v>50</v>
      </c>
      <c r="D49">
        <f>D48+(60*COS(E8))*COS(E9)</f>
        <v>160.62402349302704</v>
      </c>
      <c r="E49">
        <f>E44</f>
        <v>139.28388277184121</v>
      </c>
    </row>
  </sheetData>
  <sheetProtection selectLockedCells="1" selectUnlockedCells="1"/>
  <mergeCells count="7">
    <mergeCell ref="A38:E38"/>
    <mergeCell ref="I38:L38"/>
    <mergeCell ref="A1:O1"/>
    <mergeCell ref="B2:D2"/>
    <mergeCell ref="A7:B7"/>
    <mergeCell ref="D7:E7"/>
    <mergeCell ref="A16:B1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Casado Garcia, Fernando</cp:lastModifiedBy>
  <dcterms:created xsi:type="dcterms:W3CDTF">2013-12-05T20:12:47Z</dcterms:created>
  <dcterms:modified xsi:type="dcterms:W3CDTF">2015-03-10T10:43:17Z</dcterms:modified>
</cp:coreProperties>
</file>